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0"/>
  <workbookPr defaultThemeVersion="166925"/>
  <mc:AlternateContent xmlns:mc="http://schemas.openxmlformats.org/markup-compatibility/2006">
    <mc:Choice Requires="x15">
      <x15ac:absPath xmlns:x15ac="http://schemas.microsoft.com/office/spreadsheetml/2010/11/ac" url="/Users/PaddockFinancial/Documents/"/>
    </mc:Choice>
  </mc:AlternateContent>
  <xr:revisionPtr revIDLastSave="0" documentId="13_ncr:1_{5A1BC349-E625-0A40-8B3A-C385948FBAE6}" xr6:coauthVersionLast="36" xr6:coauthVersionMax="36" xr10:uidLastSave="{00000000-0000-0000-0000-000000000000}"/>
  <bookViews>
    <workbookView xWindow="-35660" yWindow="2160" windowWidth="28800" windowHeight="16400" activeTab="1" xr2:uid="{53E66D96-673A-9043-BE73-657CD1068D13}"/>
  </bookViews>
  <sheets>
    <sheet name="Spreadsheet Instructions" sheetId="4" r:id="rId1"/>
    <sheet name="RWS Assumptions" sheetId="5" r:id="rId2"/>
    <sheet name="BRS Calculator" sheetId="1" r:id="rId3"/>
  </sheet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5" i="1" l="1"/>
  <c r="F32" i="1" l="1"/>
  <c r="G32" i="1" s="1"/>
  <c r="F33" i="1"/>
  <c r="G33" i="1" s="1"/>
  <c r="F6" i="1"/>
  <c r="F7" i="1"/>
  <c r="F8" i="1"/>
  <c r="G8" i="1" s="1"/>
  <c r="H8" i="1" s="1"/>
  <c r="I8" i="1" s="1"/>
  <c r="F9" i="1"/>
  <c r="G9" i="1" s="1"/>
  <c r="F10" i="1"/>
  <c r="G10" i="1" s="1"/>
  <c r="H10" i="1" s="1"/>
  <c r="I10" i="1" s="1"/>
  <c r="F11" i="1"/>
  <c r="F12" i="1"/>
  <c r="G12" i="1" s="1"/>
  <c r="F13" i="1"/>
  <c r="G13" i="1" s="1"/>
  <c r="F14" i="1"/>
  <c r="G14" i="1" s="1"/>
  <c r="H14" i="1" s="1"/>
  <c r="I14" i="1" s="1"/>
  <c r="F15" i="1"/>
  <c r="G15" i="1" s="1"/>
  <c r="F16" i="1"/>
  <c r="G16" i="1" s="1"/>
  <c r="H16" i="1" s="1"/>
  <c r="I16" i="1" s="1"/>
  <c r="F17" i="1"/>
  <c r="G17" i="1" s="1"/>
  <c r="F18" i="1"/>
  <c r="G18" i="1" s="1"/>
  <c r="H18" i="1" s="1"/>
  <c r="I18" i="1" s="1"/>
  <c r="F19" i="1"/>
  <c r="F20" i="1"/>
  <c r="G20" i="1" s="1"/>
  <c r="H20" i="1" s="1"/>
  <c r="I20" i="1" s="1"/>
  <c r="F21" i="1"/>
  <c r="G21" i="1" s="1"/>
  <c r="F22" i="1"/>
  <c r="G22" i="1" s="1"/>
  <c r="H22" i="1" s="1"/>
  <c r="I22" i="1" s="1"/>
  <c r="F23" i="1"/>
  <c r="F24" i="1"/>
  <c r="G24" i="1" s="1"/>
  <c r="H24" i="1" s="1"/>
  <c r="I24" i="1" s="1"/>
  <c r="F25" i="1"/>
  <c r="G25" i="1" s="1"/>
  <c r="F26" i="1"/>
  <c r="G26" i="1" s="1"/>
  <c r="H26" i="1" s="1"/>
  <c r="I26" i="1" s="1"/>
  <c r="F27" i="1"/>
  <c r="G27" i="1" s="1"/>
  <c r="H27" i="1" s="1"/>
  <c r="I27" i="1" s="1"/>
  <c r="F28" i="1"/>
  <c r="G28" i="1" s="1"/>
  <c r="H28" i="1" s="1"/>
  <c r="I28" i="1" s="1"/>
  <c r="F29" i="1"/>
  <c r="G29" i="1" s="1"/>
  <c r="F30" i="1"/>
  <c r="G30" i="1" s="1"/>
  <c r="H30" i="1" s="1"/>
  <c r="I30" i="1" s="1"/>
  <c r="F31" i="1"/>
  <c r="G31" i="1" s="1"/>
  <c r="F5" i="1"/>
  <c r="F4" i="1"/>
  <c r="H31" i="1" l="1"/>
  <c r="I31" i="1" s="1"/>
  <c r="B15" i="1"/>
  <c r="G7" i="1"/>
  <c r="H7" i="1" s="1"/>
  <c r="I7" i="1" s="1"/>
  <c r="G6" i="1"/>
  <c r="H6" i="1" s="1"/>
  <c r="I6" i="1" s="1"/>
  <c r="H15" i="1"/>
  <c r="I15" i="1" s="1"/>
  <c r="J16" i="1"/>
  <c r="J17" i="1" s="1"/>
  <c r="J18" i="1" s="1"/>
  <c r="J19" i="1" s="1"/>
  <c r="J20" i="1" s="1"/>
  <c r="J21" i="1" s="1"/>
  <c r="J22" i="1" s="1"/>
  <c r="J23" i="1" s="1"/>
  <c r="G4" i="1"/>
  <c r="H4" i="1" s="1"/>
  <c r="I4" i="1" s="1"/>
  <c r="G5" i="1"/>
  <c r="H5" i="1" s="1"/>
  <c r="I5" i="1" s="1"/>
  <c r="G11" i="1"/>
  <c r="H11" i="1" s="1"/>
  <c r="I11" i="1" s="1"/>
  <c r="G19" i="1"/>
  <c r="H19" i="1" s="1"/>
  <c r="I19" i="1" s="1"/>
  <c r="G23" i="1"/>
  <c r="H23" i="1" s="1"/>
  <c r="I23" i="1" s="1"/>
  <c r="H25" i="1"/>
  <c r="I25" i="1" s="1"/>
  <c r="H9" i="1"/>
  <c r="I9" i="1" s="1"/>
  <c r="H29" i="1"/>
  <c r="I29" i="1" s="1"/>
  <c r="H21" i="1"/>
  <c r="I21" i="1" s="1"/>
  <c r="H17" i="1"/>
  <c r="I17" i="1" s="1"/>
  <c r="H13" i="1"/>
  <c r="I13" i="1" s="1"/>
  <c r="H33" i="1"/>
  <c r="I33" i="1" s="1"/>
  <c r="H12" i="1"/>
  <c r="I12" i="1" s="1"/>
  <c r="H32" i="1"/>
  <c r="I32" i="1" s="1"/>
  <c r="K16" i="1" l="1"/>
  <c r="K22" i="1"/>
  <c r="J24" i="1"/>
  <c r="J25" i="1" s="1"/>
  <c r="J26" i="1" s="1"/>
  <c r="J27" i="1" s="1"/>
  <c r="J28" i="1" s="1"/>
  <c r="J29" i="1" s="1"/>
  <c r="J30" i="1" s="1"/>
  <c r="J31" i="1" s="1"/>
  <c r="J32" i="1" s="1"/>
  <c r="J33" i="1" s="1"/>
  <c r="K13" i="1" s="1"/>
  <c r="K7" i="1"/>
  <c r="K10" i="1" s="1"/>
  <c r="K19" i="1" s="1"/>
  <c r="K25" i="1" s="1"/>
</calcChain>
</file>

<file path=xl/sharedStrings.xml><?xml version="1.0" encoding="utf-8"?>
<sst xmlns="http://schemas.openxmlformats.org/spreadsheetml/2006/main" count="43" uniqueCount="43">
  <si>
    <t>Year</t>
  </si>
  <si>
    <t>Paygrade</t>
  </si>
  <si>
    <t>DOD Match</t>
  </si>
  <si>
    <t>Assumed Inflation Rate</t>
  </si>
  <si>
    <t>Assumed Investment Return</t>
  </si>
  <si>
    <t>Total Return</t>
  </si>
  <si>
    <t>Years of Service</t>
  </si>
  <si>
    <t>TOTAL TSP BALANCE FROM MATCH</t>
  </si>
  <si>
    <t>Income Factor</t>
  </si>
  <si>
    <t>Annual Base Pay</t>
  </si>
  <si>
    <t>High Three Base Pay</t>
  </si>
  <si>
    <t>Inflation Adjusted Annual Base Pay</t>
  </si>
  <si>
    <t>ANNUAL INCOME FROM TSP BALANCE</t>
  </si>
  <si>
    <t>ANNUAL BRS RETIRED PAY</t>
  </si>
  <si>
    <t>TOTAL ANNUAL BRS COMPENSATION</t>
  </si>
  <si>
    <t>LEGACY ANNUAL RETIRED PAY</t>
  </si>
  <si>
    <t>Monthly Base Pay</t>
  </si>
  <si>
    <t>ANNUAL LEGACY RETIRED PAY ADVANTAGE</t>
  </si>
  <si>
    <r>
      <rPr>
        <b/>
        <u/>
        <sz val="16"/>
        <color theme="1"/>
        <rFont val="Calibri (Body)_x0000_"/>
      </rPr>
      <t>Block B3</t>
    </r>
    <r>
      <rPr>
        <sz val="16"/>
        <color theme="1"/>
        <rFont val="Calibri"/>
        <family val="2"/>
        <scheme val="minor"/>
      </rPr>
      <t>. The default assumption for inflation rate is that pay will grow at an annual rate of 1.5%. This is not guaranteed, and it is not a reflection of RWS's belief or expectation of what the Consumer Price Index will do over the next 30 years. (We have no idea what CPI will do in the next 30 years.)</t>
    </r>
  </si>
  <si>
    <r>
      <rPr>
        <b/>
        <u/>
        <sz val="16"/>
        <color theme="1"/>
        <rFont val="Calibri (Body)_x0000_"/>
      </rPr>
      <t>Block B6</t>
    </r>
    <r>
      <rPr>
        <sz val="16"/>
        <color theme="1"/>
        <rFont val="Calibri"/>
        <family val="2"/>
        <scheme val="minor"/>
      </rPr>
      <t>. The default assumption for investment returns is 8%. RWS believes this is a conservative estimate for what a TSP account allocated to the C, S and I funds will return over twenty or more years. As ever, there are no guarantees in investing, and past performance is no guarantee of future results. All investing involves risk, to include the possibility that the value of an investment could decline all the way to zero.</t>
    </r>
  </si>
  <si>
    <r>
      <rPr>
        <b/>
        <u/>
        <sz val="16"/>
        <color theme="1"/>
        <rFont val="Calibri (Body)_x0000_"/>
      </rPr>
      <t>Block B9</t>
    </r>
    <r>
      <rPr>
        <sz val="16"/>
        <color theme="1"/>
        <rFont val="Calibri"/>
        <family val="2"/>
        <scheme val="minor"/>
      </rPr>
      <t>. The default assumption for years of service is 20. The spreadsheet is set up to model as many as 30 years of service. Fill in this block with whatever number you like, and feel free to change it a few times and see how it changes your result.</t>
    </r>
  </si>
  <si>
    <r>
      <rPr>
        <b/>
        <u/>
        <sz val="16"/>
        <color theme="1"/>
        <rFont val="Calibri (Body)_x0000_"/>
      </rPr>
      <t>Block B12</t>
    </r>
    <r>
      <rPr>
        <sz val="16"/>
        <color theme="1"/>
        <rFont val="Calibri"/>
        <family val="2"/>
        <scheme val="minor"/>
      </rPr>
      <t>. The default assumption for an income factor is 4.0%, which is a very conservative factor for taking income from an investment portfolio in a sustainable fashion. The purpose of this block is to put the BRS and legacy retirement systems on something closer to apples-to-apples footing for comparison purposes. Taking income from TSP immediately upon your retirement from military service, however, would in most cases involve somewhat complex tax maneuvering which we're not going to describe in any detail here. But for the BRS skeptics who say, "But I have to wait for my TSP money and I get my military pension right away, " we put this in here specifically because you're wrong about that. And to put the comparison on apples-to-apples footing. That said, none of this means you actually have to take income from your TSP right away, in most cases we would recommend you don't, and we believe there are specific and very powerful deferred income and estate planning opportunities offered by BRS for those who decide opt in.</t>
    </r>
  </si>
  <si>
    <r>
      <rPr>
        <b/>
        <u/>
        <sz val="16"/>
        <color theme="1"/>
        <rFont val="Calibri (Body)_x0000_"/>
      </rPr>
      <t>Block B15</t>
    </r>
    <r>
      <rPr>
        <sz val="16"/>
        <color theme="1"/>
        <rFont val="Calibri"/>
        <family val="2"/>
        <scheme val="minor"/>
      </rPr>
      <t>. Enter the average of the inflation adjusted final three years of base pay (in column G).</t>
    </r>
  </si>
  <si>
    <r>
      <rPr>
        <b/>
        <u/>
        <sz val="16"/>
        <color theme="1"/>
        <rFont val="Calibri (Body)_x0000_"/>
      </rPr>
      <t>Blocks H4-H15</t>
    </r>
    <r>
      <rPr>
        <sz val="16"/>
        <color theme="1"/>
        <rFont val="Calibri"/>
        <family val="2"/>
        <scheme val="minor"/>
      </rPr>
      <t>. Manually override the formula and enter the value "0" for any year of service you've completed before opting in to BRS. If you don't do this, the model will deliver an unrealistically high number for the DOD matching contributions and its subsequent growth.</t>
    </r>
  </si>
  <si>
    <t>Continuation Pay Factor</t>
  </si>
  <si>
    <t>ANNUAL INCOME FROM CONTINUATION PAY BALANCE</t>
  </si>
  <si>
    <t>Continuation Pay Balance</t>
  </si>
  <si>
    <r>
      <rPr>
        <b/>
        <u/>
        <sz val="16"/>
        <color theme="1"/>
        <rFont val="Calibri (Body)_x0000_"/>
      </rPr>
      <t>Block B18</t>
    </r>
    <r>
      <rPr>
        <b/>
        <sz val="16"/>
        <color theme="1"/>
        <rFont val="Calibri"/>
        <family val="2"/>
        <scheme val="minor"/>
      </rPr>
      <t>.</t>
    </r>
    <r>
      <rPr>
        <sz val="16"/>
        <color theme="1"/>
        <rFont val="Calibri"/>
        <family val="2"/>
        <scheme val="minor"/>
      </rPr>
      <t xml:space="preserve"> The default entry in this cell is 2.5, the minimum active component Continuation Pay and current Continuation Pay for the active component in all  services. If you are reserve component, enter 0.5, the current Continuation Pay in the reserve component in all services.</t>
    </r>
  </si>
  <si>
    <r>
      <rPr>
        <b/>
        <u/>
        <sz val="16"/>
        <color theme="1"/>
        <rFont val="Calibri (Body)_x0000_"/>
      </rPr>
      <t>Blocks G4-G15.</t>
    </r>
    <r>
      <rPr>
        <sz val="16"/>
        <color theme="1"/>
        <rFont val="Calibri"/>
        <family val="2"/>
        <scheme val="minor"/>
      </rPr>
      <t xml:space="preserve"> Manually override the formula and enter the actual annual base pay from any of those years of service that have already occurred. If those years of service have not occurred yet, leave the formula in place.</t>
    </r>
  </si>
  <si>
    <r>
      <rPr>
        <b/>
        <u/>
        <sz val="16"/>
        <color theme="1"/>
        <rFont val="Calibri (Body)_x0000_"/>
      </rPr>
      <t>Blocks D4-D33</t>
    </r>
    <r>
      <rPr>
        <b/>
        <sz val="16"/>
        <color theme="1"/>
        <rFont val="Calibri"/>
        <family val="2"/>
        <scheme val="minor"/>
      </rPr>
      <t>.</t>
    </r>
    <r>
      <rPr>
        <sz val="16"/>
        <color theme="1"/>
        <rFont val="Calibri"/>
        <family val="2"/>
        <scheme val="minor"/>
      </rPr>
      <t xml:space="preserve"> This is entirely up to you. For years of service that have already occurred, pull up the DFAS pay table from those years and enter what your monthly base pay was. For all future years, enter what you think your career will look like. At RWS, we think all of you are going to be the Chairman of the Joint Chiefs of Staff one day, but we don't have a vote at any of your promotion boards. It's proba</t>
    </r>
  </si>
  <si>
    <r>
      <rPr>
        <b/>
        <u/>
        <sz val="16"/>
        <color theme="1"/>
        <rFont val="Calibri (Body)_x0000_"/>
      </rPr>
      <t>Block E4-E33</t>
    </r>
    <r>
      <rPr>
        <sz val="16"/>
        <color theme="1"/>
        <rFont val="Calibri"/>
        <family val="2"/>
        <scheme val="minor"/>
      </rPr>
      <t>. Pull down the appropriate DFAS pay tables and fill in the corresponding base pay for the paygrades you entered in block D4-D33. For future years of service, use the current pay table.</t>
    </r>
  </si>
  <si>
    <r>
      <rPr>
        <b/>
        <u/>
        <sz val="16"/>
        <color theme="1"/>
        <rFont val="Calibri (Body)_x0000_"/>
      </rPr>
      <t>Block K13</t>
    </r>
    <r>
      <rPr>
        <b/>
        <sz val="16"/>
        <color theme="1"/>
        <rFont val="Calibri"/>
        <family val="2"/>
        <scheme val="minor"/>
      </rPr>
      <t>.</t>
    </r>
    <r>
      <rPr>
        <sz val="16"/>
        <color theme="1"/>
        <rFont val="Calibri"/>
        <family val="2"/>
        <scheme val="minor"/>
      </rPr>
      <t xml:space="preserve"> The default entry in this cell is based on retiring after 20 years of service. If you're assuming you retire later, manually check column J and determine which cell matches your assumed final year of service. Enter that cell number into the formula as the second factor to be multiplied by cell B12 (the investment income factor). For example, if you retire after 25 years of service, substitute cell J28 into the formula for J23.</t>
    </r>
  </si>
  <si>
    <t>We assume an overall inflation rate of 2.5% over the long term. We assume that DOD salaries will rise 1.5% over the same term.</t>
  </si>
  <si>
    <t>We assume an 8% long-term return on a properly diversified equities portfolio. The S&amp;P 500 return dating back to 1970 is approximately 10.3%, but over the past 20 years it is about 7.9%.</t>
  </si>
  <si>
    <t>We assume 4.0% as a sustainable income ratio from a portfolio. This is actually fairly conservative, but we believe anything higher than 4% ought not be done without professional assistance.</t>
  </si>
  <si>
    <t>Read these instructions and the assumptions in the next sheet in their entirety before filling in the sheet. Fill in only the cells shaded yellow. All other cells will fill in automatically from formulas linked to your inputs in the yellow cells. If you have any trouble with this, no matter the reason, please don't hesitate to call us at (757) 752-8055 or e-mail info@RedeploymentWealth.com for help.</t>
  </si>
  <si>
    <t>Block B3</t>
  </si>
  <si>
    <t>Block B6</t>
  </si>
  <si>
    <t>Block B12</t>
  </si>
  <si>
    <t>Block B18</t>
  </si>
  <si>
    <t>We assume a continuation pay factor of 2.5, in line with what all services are currently reporting.</t>
  </si>
  <si>
    <t>Block K10</t>
  </si>
  <si>
    <t>We assume--STRICTLY FOR PURPOSES OF MAKING AN "APPLES-TO-APPLES" COMPARISON between the BRS and legacy system--that you'll begin taking income from your TSP when you retire under BRS. In nearly all cases, this will actually get you penalized by the IRS. Beyond that, even in most cases in which you wouldn't be penalized, we wouldn't actually recommend you begin drawing income from your TSP at (for example) age 48. If you want or need more discussion on this point, please feel free to contact us. In the meantime, if you're considering actually drawing income from your TSP prior to age 59.5, just DON'T.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</si>
</sst>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quot;$&quot;#,##0.00"/>
  </numFmts>
  <fonts count="7">
    <font>
      <sz val="12"/>
      <color theme="1"/>
      <name val="Calibri"/>
      <family val="2"/>
      <scheme val="minor"/>
    </font>
    <font>
      <b/>
      <sz val="12"/>
      <color theme="1"/>
      <name val="Calibri"/>
      <family val="2"/>
      <scheme val="minor"/>
    </font>
    <font>
      <sz val="12"/>
      <color rgb="FF000000"/>
      <name val="Calibri"/>
      <family val="2"/>
      <scheme val="minor"/>
    </font>
    <font>
      <sz val="16"/>
      <color theme="1"/>
      <name val="Calibri"/>
      <family val="2"/>
      <scheme val="minor"/>
    </font>
    <font>
      <b/>
      <sz val="16"/>
      <color theme="1"/>
      <name val="Calibri"/>
      <family val="2"/>
      <scheme val="minor"/>
    </font>
    <font>
      <b/>
      <u/>
      <sz val="16"/>
      <color theme="1"/>
      <name val="Calibri (Body)_x0000_"/>
    </font>
    <font>
      <b/>
      <sz val="22"/>
      <color rgb="FFFF2600"/>
      <name val="Calibri"/>
      <family val="2"/>
      <scheme val="minor"/>
    </font>
  </fonts>
  <fills count="6">
    <fill>
      <patternFill patternType="none"/>
    </fill>
    <fill>
      <patternFill patternType="gray125"/>
    </fill>
    <fill>
      <patternFill patternType="solid">
        <fgColor theme="4" tint="0.39997558519241921"/>
        <bgColor indexed="64"/>
      </patternFill>
    </fill>
    <fill>
      <patternFill patternType="solid">
        <fgColor theme="7" tint="0.59999389629810485"/>
        <bgColor indexed="64"/>
      </patternFill>
    </fill>
    <fill>
      <patternFill patternType="solid">
        <fgColor rgb="FF00FDFF"/>
        <bgColor indexed="64"/>
      </patternFill>
    </fill>
    <fill>
      <patternFill patternType="solid">
        <fgColor theme="9"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9">
    <xf numFmtId="0" fontId="0" fillId="0" borderId="0" xfId="0"/>
    <xf numFmtId="0" fontId="1" fillId="2" borderId="1" xfId="0" applyFont="1" applyFill="1" applyBorder="1" applyAlignment="1">
      <alignment horizontal="center"/>
    </xf>
    <xf numFmtId="0" fontId="1" fillId="2" borderId="2" xfId="0" applyFont="1" applyFill="1" applyBorder="1" applyAlignment="1">
      <alignment horizontal="center"/>
    </xf>
    <xf numFmtId="165" fontId="1" fillId="2" borderId="1" xfId="0" applyNumberFormat="1" applyFont="1" applyFill="1" applyBorder="1" applyAlignment="1">
      <alignment horizontal="center"/>
    </xf>
    <xf numFmtId="0" fontId="0" fillId="0" borderId="0" xfId="0" applyAlignment="1">
      <alignment horizontal="center"/>
    </xf>
    <xf numFmtId="165" fontId="0" fillId="0" borderId="0" xfId="0" applyNumberFormat="1" applyAlignment="1">
      <alignment horizontal="center"/>
    </xf>
    <xf numFmtId="164" fontId="0" fillId="3" borderId="1" xfId="0" applyNumberFormat="1" applyFill="1" applyBorder="1" applyAlignment="1">
      <alignment horizontal="center"/>
    </xf>
    <xf numFmtId="0" fontId="0" fillId="5" borderId="1" xfId="0" applyFill="1" applyBorder="1" applyAlignment="1">
      <alignment horizontal="center"/>
    </xf>
    <xf numFmtId="0" fontId="0" fillId="3" borderId="1" xfId="0" applyFill="1" applyBorder="1" applyAlignment="1">
      <alignment horizontal="center"/>
    </xf>
    <xf numFmtId="165" fontId="0" fillId="3" borderId="1" xfId="0" applyNumberFormat="1" applyFill="1" applyBorder="1" applyAlignment="1">
      <alignment horizontal="center"/>
    </xf>
    <xf numFmtId="165" fontId="0" fillId="5" borderId="1" xfId="0" applyNumberFormat="1" applyFill="1" applyBorder="1" applyAlignment="1">
      <alignment horizontal="center"/>
    </xf>
    <xf numFmtId="0" fontId="0" fillId="5" borderId="2" xfId="0" applyFill="1" applyBorder="1" applyAlignment="1">
      <alignment horizontal="center"/>
    </xf>
    <xf numFmtId="0" fontId="3" fillId="0" borderId="0" xfId="0" applyFont="1"/>
    <xf numFmtId="0" fontId="3" fillId="0" borderId="0" xfId="0" applyFont="1" applyAlignment="1">
      <alignment wrapText="1"/>
    </xf>
    <xf numFmtId="165" fontId="0" fillId="5" borderId="2" xfId="0" applyNumberFormat="1" applyFill="1" applyBorder="1" applyAlignment="1">
      <alignment horizontal="center"/>
    </xf>
    <xf numFmtId="165" fontId="0" fillId="4" borderId="2" xfId="0" applyNumberFormat="1" applyFill="1" applyBorder="1" applyAlignment="1">
      <alignment horizontal="center"/>
    </xf>
    <xf numFmtId="165" fontId="2" fillId="3" borderId="1" xfId="0" applyNumberFormat="1" applyFont="1" applyFill="1" applyBorder="1" applyAlignment="1">
      <alignment horizontal="center"/>
    </xf>
    <xf numFmtId="0" fontId="6" fillId="3" borderId="0" xfId="0" applyFont="1" applyFill="1" applyAlignment="1">
      <alignment wrapText="1"/>
    </xf>
    <xf numFmtId="0" fontId="3" fillId="0" borderId="0" xfId="0" applyFont="1" applyAlignment="1">
      <alignment horizontal="center" vertical="center"/>
    </xf>
  </cellXfs>
  <cellStyles count="1">
    <cellStyle name="Normal" xfId="0" builtinId="0"/>
  </cellStyles>
  <dxfs count="0"/>
  <tableStyles count="0" defaultTableStyle="TableStyleMedium2" defaultPivotStyle="PivotStyleLight16"/>
  <colors>
    <mruColors>
      <color rgb="FF941651"/>
      <color rgb="FFFF2600"/>
      <color rgb="FF00F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CF6AF1-F116-9E4C-9311-F1A2F9E2AB32}">
  <dimension ref="B1:B12"/>
  <sheetViews>
    <sheetView workbookViewId="0">
      <selection activeCell="F2" sqref="F2"/>
    </sheetView>
  </sheetViews>
  <sheetFormatPr baseColWidth="10" defaultRowHeight="21"/>
  <cols>
    <col min="1" max="1" width="5.1640625" style="12" customWidth="1"/>
    <col min="2" max="2" width="86.6640625" style="13" customWidth="1"/>
    <col min="3" max="16384" width="10.83203125" style="12"/>
  </cols>
  <sheetData>
    <row r="1" spans="2:2" ht="240">
      <c r="B1" s="17" t="s">
        <v>35</v>
      </c>
    </row>
    <row r="2" spans="2:2" ht="88">
      <c r="B2" s="13" t="s">
        <v>18</v>
      </c>
    </row>
    <row r="3" spans="2:2" ht="132">
      <c r="B3" s="13" t="s">
        <v>19</v>
      </c>
    </row>
    <row r="4" spans="2:2" ht="88">
      <c r="B4" s="13" t="s">
        <v>20</v>
      </c>
    </row>
    <row r="5" spans="2:2" ht="330">
      <c r="B5" s="13" t="s">
        <v>21</v>
      </c>
    </row>
    <row r="6" spans="2:2" ht="44">
      <c r="B6" s="13" t="s">
        <v>22</v>
      </c>
    </row>
    <row r="7" spans="2:2" ht="88">
      <c r="B7" s="13" t="s">
        <v>27</v>
      </c>
    </row>
    <row r="8" spans="2:2" ht="132">
      <c r="B8" s="13" t="s">
        <v>29</v>
      </c>
    </row>
    <row r="9" spans="2:2" ht="66">
      <c r="B9" s="13" t="s">
        <v>30</v>
      </c>
    </row>
    <row r="10" spans="2:2" ht="66">
      <c r="B10" s="13" t="s">
        <v>28</v>
      </c>
    </row>
    <row r="11" spans="2:2" ht="88">
      <c r="B11" s="13" t="s">
        <v>23</v>
      </c>
    </row>
    <row r="12" spans="2:2" ht="132">
      <c r="B12" s="13" t="s">
        <v>31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9E0813-6ED9-5E47-B6B1-7704155F1EE1}">
  <dimension ref="A2:B6"/>
  <sheetViews>
    <sheetView tabSelected="1" workbookViewId="0">
      <selection activeCell="B7" sqref="B7"/>
    </sheetView>
  </sheetViews>
  <sheetFormatPr baseColWidth="10" defaultRowHeight="21"/>
  <cols>
    <col min="1" max="1" width="11.83203125" bestFit="1" customWidth="1"/>
    <col min="2" max="2" width="86.5" style="13" customWidth="1"/>
  </cols>
  <sheetData>
    <row r="2" spans="1:2" ht="44">
      <c r="A2" s="18" t="s">
        <v>36</v>
      </c>
      <c r="B2" s="13" t="s">
        <v>32</v>
      </c>
    </row>
    <row r="3" spans="1:2" ht="66">
      <c r="A3" s="18" t="s">
        <v>37</v>
      </c>
      <c r="B3" s="13" t="s">
        <v>33</v>
      </c>
    </row>
    <row r="4" spans="1:2" ht="66">
      <c r="A4" s="18" t="s">
        <v>38</v>
      </c>
      <c r="B4" s="13" t="s">
        <v>34</v>
      </c>
    </row>
    <row r="5" spans="1:2" ht="44">
      <c r="A5" s="18" t="s">
        <v>39</v>
      </c>
      <c r="B5" s="13" t="s">
        <v>40</v>
      </c>
    </row>
    <row r="6" spans="1:2" ht="198">
      <c r="A6" s="18" t="s">
        <v>41</v>
      </c>
      <c r="B6" s="13"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B2302-3F55-EF40-8EDE-F26375246EDE}">
  <dimension ref="B2:K33"/>
  <sheetViews>
    <sheetView workbookViewId="0">
      <selection activeCell="K10" sqref="K10"/>
    </sheetView>
  </sheetViews>
  <sheetFormatPr baseColWidth="10" defaultRowHeight="16"/>
  <cols>
    <col min="1" max="1" width="5.33203125" style="4" customWidth="1"/>
    <col min="2" max="2" width="28.6640625" style="4" bestFit="1" customWidth="1"/>
    <col min="3" max="4" width="10.83203125" style="4"/>
    <col min="5" max="5" width="15.6640625" style="5" bestFit="1" customWidth="1"/>
    <col min="6" max="6" width="14.6640625" style="5" bestFit="1" customWidth="1"/>
    <col min="7" max="7" width="30.1640625" style="5" bestFit="1" customWidth="1"/>
    <col min="8" max="8" width="10.83203125" style="4"/>
    <col min="9" max="9" width="11.33203125" style="5" bestFit="1" customWidth="1"/>
    <col min="10" max="10" width="22.33203125" style="5" bestFit="1" customWidth="1"/>
    <col min="11" max="11" width="48" style="4" bestFit="1" customWidth="1"/>
    <col min="12" max="12" width="25.6640625" style="4" bestFit="1" customWidth="1"/>
    <col min="13" max="13" width="11.83203125" style="4" bestFit="1" customWidth="1"/>
    <col min="14" max="14" width="24.83203125" style="4" bestFit="1" customWidth="1"/>
    <col min="15" max="16384" width="10.83203125" style="4"/>
  </cols>
  <sheetData>
    <row r="2" spans="2:11">
      <c r="B2" s="1" t="s">
        <v>3</v>
      </c>
    </row>
    <row r="3" spans="2:11">
      <c r="B3" s="6">
        <v>1.4999999999999999E-2</v>
      </c>
      <c r="C3" s="2" t="s">
        <v>0</v>
      </c>
      <c r="D3" s="1" t="s">
        <v>1</v>
      </c>
      <c r="E3" s="3" t="s">
        <v>16</v>
      </c>
      <c r="F3" s="3" t="s">
        <v>9</v>
      </c>
      <c r="G3" s="3" t="s">
        <v>11</v>
      </c>
      <c r="H3" s="1" t="s">
        <v>2</v>
      </c>
      <c r="I3" s="3" t="s">
        <v>5</v>
      </c>
      <c r="J3" s="3" t="s">
        <v>26</v>
      </c>
    </row>
    <row r="4" spans="2:11">
      <c r="C4" s="7">
        <v>1</v>
      </c>
      <c r="D4" s="8"/>
      <c r="E4" s="9"/>
      <c r="F4" s="10">
        <f>12*E4</f>
        <v>0</v>
      </c>
      <c r="G4" s="9">
        <f>F4</f>
        <v>0</v>
      </c>
      <c r="H4" s="9">
        <f>0.05*G4</f>
        <v>0</v>
      </c>
      <c r="I4" s="10">
        <f>H4*((1+B6)^(B9-1))</f>
        <v>0</v>
      </c>
      <c r="J4" s="10">
        <v>0</v>
      </c>
    </row>
    <row r="5" spans="2:11">
      <c r="B5" s="1" t="s">
        <v>4</v>
      </c>
      <c r="C5" s="7">
        <v>2</v>
      </c>
      <c r="D5" s="8"/>
      <c r="E5" s="9"/>
      <c r="F5" s="10">
        <f>12*E5</f>
        <v>0</v>
      </c>
      <c r="G5" s="9">
        <f>F5*(1+B3)</f>
        <v>0</v>
      </c>
      <c r="H5" s="9">
        <f>0.05*G5</f>
        <v>0</v>
      </c>
      <c r="I5" s="10">
        <f>H5*((1+B6)^(B9-2))</f>
        <v>0</v>
      </c>
      <c r="J5" s="10">
        <v>0</v>
      </c>
    </row>
    <row r="6" spans="2:11">
      <c r="B6" s="6">
        <v>0.08</v>
      </c>
      <c r="C6" s="7">
        <v>3</v>
      </c>
      <c r="D6" s="8"/>
      <c r="E6" s="9"/>
      <c r="F6" s="10">
        <f t="shared" ref="F6:F33" si="0">12*E6</f>
        <v>0</v>
      </c>
      <c r="G6" s="9">
        <f>F6*(1+B3)^2</f>
        <v>0</v>
      </c>
      <c r="H6" s="9">
        <f>0.05*G6</f>
        <v>0</v>
      </c>
      <c r="I6" s="10">
        <f>H6*((1+B6)^(B9-3))</f>
        <v>0</v>
      </c>
      <c r="J6" s="10">
        <v>0</v>
      </c>
      <c r="K6" s="2" t="s">
        <v>7</v>
      </c>
    </row>
    <row r="7" spans="2:11">
      <c r="C7" s="7">
        <v>4</v>
      </c>
      <c r="D7" s="8"/>
      <c r="E7" s="9"/>
      <c r="F7" s="10">
        <f t="shared" si="0"/>
        <v>0</v>
      </c>
      <c r="G7" s="16">
        <f>F7*((1+B3)^3)</f>
        <v>0</v>
      </c>
      <c r="H7" s="9">
        <f t="shared" ref="H7:H33" si="1">0.05*G7</f>
        <v>0</v>
      </c>
      <c r="I7" s="10">
        <f>H7*((1+B6)^(B9-4))</f>
        <v>0</v>
      </c>
      <c r="J7" s="10">
        <v>0</v>
      </c>
      <c r="K7" s="14">
        <f>SUM(I4:I33)</f>
        <v>0</v>
      </c>
    </row>
    <row r="8" spans="2:11">
      <c r="B8" s="1" t="s">
        <v>6</v>
      </c>
      <c r="C8" s="7">
        <v>5</v>
      </c>
      <c r="D8" s="8"/>
      <c r="E8" s="9"/>
      <c r="F8" s="10">
        <f t="shared" si="0"/>
        <v>0</v>
      </c>
      <c r="G8" s="9">
        <f>F8*((1+B3)^4)</f>
        <v>0</v>
      </c>
      <c r="H8" s="9">
        <f t="shared" si="1"/>
        <v>0</v>
      </c>
      <c r="I8" s="10">
        <f>H8*((1+B6)^(B9-5))</f>
        <v>0</v>
      </c>
      <c r="J8" s="10">
        <v>0</v>
      </c>
    </row>
    <row r="9" spans="2:11">
      <c r="B9" s="8">
        <v>30</v>
      </c>
      <c r="C9" s="7">
        <v>6</v>
      </c>
      <c r="D9" s="8"/>
      <c r="E9" s="9"/>
      <c r="F9" s="10">
        <f t="shared" si="0"/>
        <v>0</v>
      </c>
      <c r="G9" s="9">
        <f>F9*((1+B3)^5)</f>
        <v>0</v>
      </c>
      <c r="H9" s="9">
        <f t="shared" si="1"/>
        <v>0</v>
      </c>
      <c r="I9" s="10">
        <f>H9*((1+B6)^(B9-6))</f>
        <v>0</v>
      </c>
      <c r="J9" s="10">
        <v>0</v>
      </c>
      <c r="K9" s="2" t="s">
        <v>12</v>
      </c>
    </row>
    <row r="10" spans="2:11">
      <c r="C10" s="7">
        <v>7</v>
      </c>
      <c r="D10" s="8"/>
      <c r="E10" s="9"/>
      <c r="F10" s="10">
        <f t="shared" si="0"/>
        <v>0</v>
      </c>
      <c r="G10" s="9">
        <f>F10*((1+B3)^6)</f>
        <v>0</v>
      </c>
      <c r="H10" s="9">
        <f t="shared" si="1"/>
        <v>0</v>
      </c>
      <c r="I10" s="10">
        <f>H10*((1+B6)^(B9-7))</f>
        <v>0</v>
      </c>
      <c r="J10" s="10">
        <v>0</v>
      </c>
      <c r="K10" s="14">
        <f>B12*K7</f>
        <v>0</v>
      </c>
    </row>
    <row r="11" spans="2:11">
      <c r="B11" s="1" t="s">
        <v>8</v>
      </c>
      <c r="C11" s="7">
        <v>8</v>
      </c>
      <c r="D11" s="8"/>
      <c r="E11" s="9"/>
      <c r="F11" s="10">
        <f t="shared" si="0"/>
        <v>0</v>
      </c>
      <c r="G11" s="9">
        <f>F11*((1+B3)^7)</f>
        <v>0</v>
      </c>
      <c r="H11" s="9">
        <f t="shared" si="1"/>
        <v>0</v>
      </c>
      <c r="I11" s="10">
        <f>H11*((1+B6)^(B9-8))</f>
        <v>0</v>
      </c>
      <c r="J11" s="10">
        <v>0</v>
      </c>
    </row>
    <row r="12" spans="2:11">
      <c r="B12" s="6">
        <v>0.04</v>
      </c>
      <c r="C12" s="7">
        <v>9</v>
      </c>
      <c r="D12" s="8"/>
      <c r="E12" s="9"/>
      <c r="F12" s="10">
        <f t="shared" si="0"/>
        <v>0</v>
      </c>
      <c r="G12" s="9">
        <f>F12*((1+B3)^8)</f>
        <v>0</v>
      </c>
      <c r="H12" s="9">
        <f t="shared" si="1"/>
        <v>0</v>
      </c>
      <c r="I12" s="10">
        <f>H12*((1+B6)^(B9-9))</f>
        <v>0</v>
      </c>
      <c r="J12" s="10">
        <v>0</v>
      </c>
      <c r="K12" s="2" t="s">
        <v>25</v>
      </c>
    </row>
    <row r="13" spans="2:11">
      <c r="C13" s="7">
        <v>10</v>
      </c>
      <c r="D13" s="8"/>
      <c r="E13" s="9"/>
      <c r="F13" s="10">
        <f t="shared" si="0"/>
        <v>0</v>
      </c>
      <c r="G13" s="9">
        <f>F13*((1+B3)^9)</f>
        <v>0</v>
      </c>
      <c r="H13" s="9">
        <f t="shared" si="1"/>
        <v>0</v>
      </c>
      <c r="I13" s="10">
        <f>H13*((1+B6)^(B9-10))</f>
        <v>0</v>
      </c>
      <c r="J13" s="10">
        <v>0</v>
      </c>
      <c r="K13" s="14">
        <f>B12*J33</f>
        <v>0</v>
      </c>
    </row>
    <row r="14" spans="2:11">
      <c r="B14" s="1" t="s">
        <v>10</v>
      </c>
      <c r="C14" s="7">
        <v>11</v>
      </c>
      <c r="D14" s="8"/>
      <c r="E14" s="9"/>
      <c r="F14" s="10">
        <f t="shared" si="0"/>
        <v>0</v>
      </c>
      <c r="G14" s="9">
        <f>F14*((1+B3)^10)</f>
        <v>0</v>
      </c>
      <c r="H14" s="9">
        <f t="shared" si="1"/>
        <v>0</v>
      </c>
      <c r="I14" s="10">
        <f>H14*((1+B6)^(B9-11))</f>
        <v>0</v>
      </c>
      <c r="J14" s="10">
        <v>0</v>
      </c>
    </row>
    <row r="15" spans="2:11">
      <c r="B15" s="9">
        <f>AVERAGE(G31:G33)</f>
        <v>0</v>
      </c>
      <c r="C15" s="7">
        <v>12</v>
      </c>
      <c r="D15" s="8"/>
      <c r="E15" s="9"/>
      <c r="F15" s="10">
        <f t="shared" si="0"/>
        <v>0</v>
      </c>
      <c r="G15" s="9">
        <f>F15*((1+B3)^11)</f>
        <v>0</v>
      </c>
      <c r="H15" s="9">
        <f t="shared" si="1"/>
        <v>0</v>
      </c>
      <c r="I15" s="10">
        <f>H15*((1+B6)^(B9-12))</f>
        <v>0</v>
      </c>
      <c r="J15" s="10">
        <f>B18*E15</f>
        <v>0</v>
      </c>
      <c r="K15" s="2" t="s">
        <v>13</v>
      </c>
    </row>
    <row r="16" spans="2:11">
      <c r="C16" s="7">
        <v>13</v>
      </c>
      <c r="D16" s="8"/>
      <c r="E16" s="9"/>
      <c r="F16" s="10">
        <f t="shared" si="0"/>
        <v>0</v>
      </c>
      <c r="G16" s="10">
        <f>F16*((1+B3)^12)</f>
        <v>0</v>
      </c>
      <c r="H16" s="10">
        <f t="shared" si="1"/>
        <v>0</v>
      </c>
      <c r="I16" s="10">
        <f>H16*((1+B6)^(B9-13))</f>
        <v>0</v>
      </c>
      <c r="J16" s="10">
        <f>J15*(1+B6)</f>
        <v>0</v>
      </c>
      <c r="K16" s="14">
        <f>0.02*B9*B15</f>
        <v>0</v>
      </c>
    </row>
    <row r="17" spans="2:11">
      <c r="B17" s="1" t="s">
        <v>24</v>
      </c>
      <c r="C17" s="11">
        <v>14</v>
      </c>
      <c r="D17" s="8"/>
      <c r="E17" s="9"/>
      <c r="F17" s="10">
        <f t="shared" si="0"/>
        <v>0</v>
      </c>
      <c r="G17" s="10">
        <f>F17*((1+B3)^13)</f>
        <v>0</v>
      </c>
      <c r="H17" s="10">
        <f t="shared" si="1"/>
        <v>0</v>
      </c>
      <c r="I17" s="10">
        <f>H17*((1+B6)^(B9-14))</f>
        <v>0</v>
      </c>
      <c r="J17" s="10">
        <f>J16*(1+B6)</f>
        <v>0</v>
      </c>
    </row>
    <row r="18" spans="2:11">
      <c r="B18" s="8">
        <v>2.5</v>
      </c>
      <c r="C18" s="11">
        <v>15</v>
      </c>
      <c r="D18" s="8"/>
      <c r="E18" s="9"/>
      <c r="F18" s="10">
        <f t="shared" si="0"/>
        <v>0</v>
      </c>
      <c r="G18" s="10">
        <f>F18*((1+B3)^14)</f>
        <v>0</v>
      </c>
      <c r="H18" s="10">
        <f t="shared" si="1"/>
        <v>0</v>
      </c>
      <c r="I18" s="10">
        <f>H18*((1+B6)^(B9-15))</f>
        <v>0</v>
      </c>
      <c r="J18" s="10">
        <f>J17*(1+B6)</f>
        <v>0</v>
      </c>
      <c r="K18" s="2" t="s">
        <v>14</v>
      </c>
    </row>
    <row r="19" spans="2:11">
      <c r="C19" s="7">
        <v>16</v>
      </c>
      <c r="D19" s="8"/>
      <c r="E19" s="9"/>
      <c r="F19" s="10">
        <f t="shared" si="0"/>
        <v>0</v>
      </c>
      <c r="G19" s="10">
        <f>F19*((1+B3)^15)</f>
        <v>0</v>
      </c>
      <c r="H19" s="10">
        <f t="shared" si="1"/>
        <v>0</v>
      </c>
      <c r="I19" s="10">
        <f>H19*((1+B6)^(B9-16))</f>
        <v>0</v>
      </c>
      <c r="J19" s="10">
        <f>J18*(1+B6)</f>
        <v>0</v>
      </c>
      <c r="K19" s="15">
        <f>K10+K16</f>
        <v>0</v>
      </c>
    </row>
    <row r="20" spans="2:11">
      <c r="C20" s="7">
        <v>17</v>
      </c>
      <c r="D20" s="8"/>
      <c r="E20" s="9"/>
      <c r="F20" s="10">
        <f t="shared" si="0"/>
        <v>0</v>
      </c>
      <c r="G20" s="10">
        <f>F20*((1+B3)^16)</f>
        <v>0</v>
      </c>
      <c r="H20" s="10">
        <f t="shared" si="1"/>
        <v>0</v>
      </c>
      <c r="I20" s="10">
        <f>H20*((1+B6)^(B9-17))</f>
        <v>0</v>
      </c>
      <c r="J20" s="10">
        <f>J19*(1+B6)</f>
        <v>0</v>
      </c>
    </row>
    <row r="21" spans="2:11">
      <c r="C21" s="7">
        <v>18</v>
      </c>
      <c r="D21" s="8"/>
      <c r="E21" s="9"/>
      <c r="F21" s="10">
        <f t="shared" si="0"/>
        <v>0</v>
      </c>
      <c r="G21" s="10">
        <f>F21*((1+B3)^17)</f>
        <v>0</v>
      </c>
      <c r="H21" s="10">
        <f t="shared" si="1"/>
        <v>0</v>
      </c>
      <c r="I21" s="10">
        <f>H21*((1+B6)^(B9-18))</f>
        <v>0</v>
      </c>
      <c r="J21" s="10">
        <f>J20*(1+B6)</f>
        <v>0</v>
      </c>
      <c r="K21" s="2" t="s">
        <v>15</v>
      </c>
    </row>
    <row r="22" spans="2:11">
      <c r="C22" s="7">
        <v>19</v>
      </c>
      <c r="D22" s="8"/>
      <c r="E22" s="9"/>
      <c r="F22" s="10">
        <f t="shared" si="0"/>
        <v>0</v>
      </c>
      <c r="G22" s="10">
        <f>F22*((1+B3)^18)</f>
        <v>0</v>
      </c>
      <c r="H22" s="10">
        <f t="shared" si="1"/>
        <v>0</v>
      </c>
      <c r="I22" s="10">
        <f>H22*((1+B6)^(B9-19))</f>
        <v>0</v>
      </c>
      <c r="J22" s="10">
        <f>J21*(1+B6)</f>
        <v>0</v>
      </c>
      <c r="K22" s="15">
        <f>0.025*B9*B15</f>
        <v>0</v>
      </c>
    </row>
    <row r="23" spans="2:11">
      <c r="C23" s="7">
        <v>20</v>
      </c>
      <c r="D23" s="8"/>
      <c r="E23" s="9"/>
      <c r="F23" s="10">
        <f t="shared" si="0"/>
        <v>0</v>
      </c>
      <c r="G23" s="10">
        <f>F23*((1+B3)^19)</f>
        <v>0</v>
      </c>
      <c r="H23" s="10">
        <f t="shared" si="1"/>
        <v>0</v>
      </c>
      <c r="I23" s="10">
        <f>H23*((1+B6)^(B9-20))</f>
        <v>0</v>
      </c>
      <c r="J23" s="10">
        <f>J22*(1+B6)</f>
        <v>0</v>
      </c>
    </row>
    <row r="24" spans="2:11">
      <c r="C24" s="7">
        <v>21</v>
      </c>
      <c r="D24" s="8"/>
      <c r="E24" s="9"/>
      <c r="F24" s="10">
        <f t="shared" si="0"/>
        <v>0</v>
      </c>
      <c r="G24" s="10">
        <f>F24*((1+B3)^20)</f>
        <v>0</v>
      </c>
      <c r="H24" s="10">
        <f t="shared" si="1"/>
        <v>0</v>
      </c>
      <c r="I24" s="10">
        <f>H24*((1+B6)^(B9-21))</f>
        <v>0</v>
      </c>
      <c r="J24" s="10">
        <f>J23*(1+B6)</f>
        <v>0</v>
      </c>
      <c r="K24" s="2" t="s">
        <v>17</v>
      </c>
    </row>
    <row r="25" spans="2:11">
      <c r="C25" s="7">
        <v>22</v>
      </c>
      <c r="D25" s="8"/>
      <c r="E25" s="9"/>
      <c r="F25" s="10">
        <f t="shared" si="0"/>
        <v>0</v>
      </c>
      <c r="G25" s="10">
        <f>F25*((1+B3)^21)</f>
        <v>0</v>
      </c>
      <c r="H25" s="10">
        <f t="shared" si="1"/>
        <v>0</v>
      </c>
      <c r="I25" s="10">
        <f>H25*((1+B6)^(B9-22))</f>
        <v>0</v>
      </c>
      <c r="J25" s="10">
        <f>J24*(1+B6)</f>
        <v>0</v>
      </c>
      <c r="K25" s="15">
        <f>K22-K19</f>
        <v>0</v>
      </c>
    </row>
    <row r="26" spans="2:11">
      <c r="C26" s="7">
        <v>23</v>
      </c>
      <c r="D26" s="8"/>
      <c r="E26" s="9"/>
      <c r="F26" s="10">
        <f t="shared" si="0"/>
        <v>0</v>
      </c>
      <c r="G26" s="10">
        <f>F26*((1+B3)^22)</f>
        <v>0</v>
      </c>
      <c r="H26" s="10">
        <f t="shared" si="1"/>
        <v>0</v>
      </c>
      <c r="I26" s="10">
        <f>H26*((1+B6)^(B9-23))</f>
        <v>0</v>
      </c>
      <c r="J26" s="10">
        <f>J25*(1+B6)</f>
        <v>0</v>
      </c>
    </row>
    <row r="27" spans="2:11">
      <c r="C27" s="7">
        <v>24</v>
      </c>
      <c r="D27" s="8"/>
      <c r="E27" s="9"/>
      <c r="F27" s="10">
        <f t="shared" si="0"/>
        <v>0</v>
      </c>
      <c r="G27" s="10">
        <f>F27*((1+B3)^23)</f>
        <v>0</v>
      </c>
      <c r="H27" s="10">
        <f t="shared" si="1"/>
        <v>0</v>
      </c>
      <c r="I27" s="10">
        <f>H27*((1+B6)^(B9-24))</f>
        <v>0</v>
      </c>
      <c r="J27" s="10">
        <f>J26*(1+B6)</f>
        <v>0</v>
      </c>
    </row>
    <row r="28" spans="2:11">
      <c r="C28" s="7">
        <v>25</v>
      </c>
      <c r="D28" s="8"/>
      <c r="E28" s="9"/>
      <c r="F28" s="10">
        <f t="shared" si="0"/>
        <v>0</v>
      </c>
      <c r="G28" s="10">
        <f>F28*((1+B3)^24)</f>
        <v>0</v>
      </c>
      <c r="H28" s="10">
        <f t="shared" si="1"/>
        <v>0</v>
      </c>
      <c r="I28" s="10">
        <f>H28*((1+B6)^(B9-25))</f>
        <v>0</v>
      </c>
      <c r="J28" s="10">
        <f>J27*(1+B6)</f>
        <v>0</v>
      </c>
    </row>
    <row r="29" spans="2:11">
      <c r="C29" s="7">
        <v>26</v>
      </c>
      <c r="D29" s="8"/>
      <c r="E29" s="9"/>
      <c r="F29" s="10">
        <f t="shared" si="0"/>
        <v>0</v>
      </c>
      <c r="G29" s="10">
        <f>F29*((1+B3)^25)</f>
        <v>0</v>
      </c>
      <c r="H29" s="10">
        <f t="shared" si="1"/>
        <v>0</v>
      </c>
      <c r="I29" s="10">
        <f>H29*((1+B6)^(B9-26))</f>
        <v>0</v>
      </c>
      <c r="J29" s="10">
        <f>J28*(1+B6)</f>
        <v>0</v>
      </c>
    </row>
    <row r="30" spans="2:11">
      <c r="C30" s="7">
        <v>27</v>
      </c>
      <c r="D30" s="8"/>
      <c r="E30" s="9"/>
      <c r="F30" s="10">
        <f t="shared" si="0"/>
        <v>0</v>
      </c>
      <c r="G30" s="10">
        <f>F30*((1+B3)^26)</f>
        <v>0</v>
      </c>
      <c r="H30" s="10">
        <f t="shared" si="1"/>
        <v>0</v>
      </c>
      <c r="I30" s="10">
        <f>H30*((1+B6)^(B9-27))</f>
        <v>0</v>
      </c>
      <c r="J30" s="10">
        <f>J29*(1+B6)</f>
        <v>0</v>
      </c>
    </row>
    <row r="31" spans="2:11">
      <c r="C31" s="7">
        <v>28</v>
      </c>
      <c r="D31" s="8"/>
      <c r="E31" s="9"/>
      <c r="F31" s="10">
        <f t="shared" si="0"/>
        <v>0</v>
      </c>
      <c r="G31" s="10">
        <f>F31*((1+B3)^27)</f>
        <v>0</v>
      </c>
      <c r="H31" s="10">
        <f t="shared" si="1"/>
        <v>0</v>
      </c>
      <c r="I31" s="10">
        <f>H31*((1+B6)^(B9-28))</f>
        <v>0</v>
      </c>
      <c r="J31" s="10">
        <f>J30*(1+B6)</f>
        <v>0</v>
      </c>
    </row>
    <row r="32" spans="2:11">
      <c r="C32" s="7">
        <v>29</v>
      </c>
      <c r="D32" s="8"/>
      <c r="E32" s="9"/>
      <c r="F32" s="10">
        <f t="shared" si="0"/>
        <v>0</v>
      </c>
      <c r="G32" s="10">
        <f>F32*((1+B3)^28)</f>
        <v>0</v>
      </c>
      <c r="H32" s="10">
        <f t="shared" si="1"/>
        <v>0</v>
      </c>
      <c r="I32" s="10">
        <f>H32*((1+B6)^(B9-29))</f>
        <v>0</v>
      </c>
      <c r="J32" s="10">
        <f>J31*(1+B6)</f>
        <v>0</v>
      </c>
    </row>
    <row r="33" spans="3:10">
      <c r="C33" s="7">
        <v>30</v>
      </c>
      <c r="D33" s="8"/>
      <c r="E33" s="9"/>
      <c r="F33" s="10">
        <f t="shared" si="0"/>
        <v>0</v>
      </c>
      <c r="G33" s="10">
        <f>F33*((1+B3)^29)</f>
        <v>0</v>
      </c>
      <c r="H33" s="10">
        <f t="shared" si="1"/>
        <v>0</v>
      </c>
      <c r="I33" s="10">
        <f>H33*((1+B6)^(B9-30))</f>
        <v>0</v>
      </c>
      <c r="J33" s="10">
        <f>J32*(1+B6)</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Spreadsheet Instructions</vt:lpstr>
      <vt:lpstr>RWS Assumptions</vt:lpstr>
      <vt:lpstr>BRS Calculator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Gillespie</dc:creator>
  <cp:lastModifiedBy>Sean Gillespie</cp:lastModifiedBy>
  <dcterms:created xsi:type="dcterms:W3CDTF">2018-10-12T14:34:05Z</dcterms:created>
  <dcterms:modified xsi:type="dcterms:W3CDTF">2018-11-26T18:47:37Z</dcterms:modified>
</cp:coreProperties>
</file>